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81808\Desktop\New\"/>
    </mc:Choice>
  </mc:AlternateContent>
  <xr:revisionPtr revIDLastSave="0" documentId="13_ncr:1_{E26655E4-2D44-46A4-9EAB-16917EE25E75}" xr6:coauthVersionLast="47" xr6:coauthVersionMax="47" xr10:uidLastSave="{00000000-0000-0000-0000-000000000000}"/>
  <bookViews>
    <workbookView xWindow="28680" yWindow="-120" windowWidth="29040" windowHeight="15720" xr2:uid="{00000000-000D-0000-FFFF-FFFF00000000}"/>
  </bookViews>
  <sheets>
    <sheet name="1_作品別売上" sheetId="1" r:id="rId1"/>
    <sheet name="2_手数料マスタ" sheetId="2" r:id="rId2"/>
    <sheet name="3_月次集計" sheetId="3" r:id="rId3"/>
    <sheet name="4_経費メモ" sheetId="4" r:id="rId4"/>
    <sheet name="5_販売前チェック" sheetId="5" r:id="rId5"/>
    <sheet name="6_確定申告前メモ"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6" l="1"/>
  <c r="H18" i="3"/>
  <c r="H17" i="3"/>
  <c r="H16" i="3"/>
  <c r="H15" i="3"/>
  <c r="H14" i="3"/>
  <c r="H13" i="3"/>
  <c r="H12" i="3"/>
  <c r="H11" i="3"/>
  <c r="H10" i="3"/>
  <c r="H9" i="3"/>
  <c r="E14" i="4"/>
  <c r="E12" i="4"/>
  <c r="E11" i="4"/>
  <c r="E10" i="4"/>
  <c r="E9" i="4"/>
  <c r="D18" i="3"/>
  <c r="C18" i="3"/>
  <c r="B18" i="3"/>
  <c r="E18" i="3" s="1"/>
  <c r="D17" i="3"/>
  <c r="C17" i="3"/>
  <c r="B17" i="3"/>
  <c r="E17" i="3" s="1"/>
  <c r="F18" i="3" s="1"/>
  <c r="D16" i="3"/>
  <c r="C16" i="3"/>
  <c r="B16" i="3"/>
  <c r="E16" i="3" s="1"/>
  <c r="F17" i="3" s="1"/>
  <c r="D15" i="3"/>
  <c r="C15" i="3"/>
  <c r="B15" i="3"/>
  <c r="E15" i="3" s="1"/>
  <c r="F16" i="3" s="1"/>
  <c r="D14" i="3"/>
  <c r="C14" i="3"/>
  <c r="B14" i="3"/>
  <c r="D13" i="3"/>
  <c r="C13" i="3"/>
  <c r="B13" i="3"/>
  <c r="E13" i="3" s="1"/>
  <c r="F14" i="3" s="1"/>
  <c r="D12" i="3"/>
  <c r="C12" i="3"/>
  <c r="B12" i="3"/>
  <c r="D11" i="3"/>
  <c r="C11" i="3"/>
  <c r="B11" i="3"/>
  <c r="D10" i="3"/>
  <c r="C10" i="3"/>
  <c r="B10" i="3"/>
  <c r="D9" i="3"/>
  <c r="C9" i="3"/>
  <c r="B9" i="3"/>
  <c r="D8" i="3"/>
  <c r="K12" i="1"/>
  <c r="L12" i="1" s="1"/>
  <c r="M12" i="1" s="1"/>
  <c r="K11" i="1"/>
  <c r="L11" i="1" s="1"/>
  <c r="J11" i="1"/>
  <c r="K10" i="1"/>
  <c r="L10" i="1" s="1"/>
  <c r="J10" i="1"/>
  <c r="H8" i="3" s="1"/>
  <c r="K9" i="1"/>
  <c r="L9" i="1" s="1"/>
  <c r="J9" i="1"/>
  <c r="K8" i="1"/>
  <c r="L8" i="1" s="1"/>
  <c r="J8" i="1"/>
  <c r="K7" i="1"/>
  <c r="L7" i="1" s="1"/>
  <c r="J7" i="1"/>
  <c r="H7" i="3" s="1"/>
  <c r="B7" i="6" s="1"/>
  <c r="B11" i="6" s="1"/>
  <c r="C7" i="3" l="1"/>
  <c r="M8" i="1"/>
  <c r="E11" i="3"/>
  <c r="F12" i="3" s="1"/>
  <c r="E12" i="3"/>
  <c r="F13" i="3" s="1"/>
  <c r="J13" i="1"/>
  <c r="E14" i="3"/>
  <c r="F15" i="3" s="1"/>
  <c r="E9" i="3"/>
  <c r="F10" i="3" s="1"/>
  <c r="E10" i="3"/>
  <c r="F11" i="3" s="1"/>
  <c r="I17" i="3"/>
  <c r="D7" i="3"/>
  <c r="M9" i="1"/>
  <c r="M10" i="1"/>
  <c r="B8" i="3"/>
  <c r="E8" i="3" s="1"/>
  <c r="F9" i="3" s="1"/>
  <c r="B7" i="3"/>
  <c r="E7" i="3" s="1"/>
  <c r="B8" i="6" s="1"/>
  <c r="B10" i="6" s="1"/>
  <c r="L13" i="1"/>
  <c r="M13" i="1" s="1"/>
  <c r="M7" i="1"/>
  <c r="M11" i="1"/>
  <c r="C8" i="3"/>
  <c r="I8" i="3"/>
  <c r="I10" i="3"/>
  <c r="I12" i="3"/>
  <c r="I14" i="3"/>
  <c r="I16" i="3"/>
  <c r="I18" i="3"/>
  <c r="I7" i="3"/>
  <c r="I9" i="3"/>
  <c r="I11" i="3"/>
  <c r="I13" i="3"/>
  <c r="I15" i="3"/>
  <c r="G17" i="3" l="1"/>
  <c r="G15" i="3"/>
  <c r="G13" i="3"/>
  <c r="G11" i="3"/>
  <c r="G9" i="3"/>
  <c r="G7" i="3"/>
  <c r="G18" i="3"/>
  <c r="G16" i="3"/>
  <c r="G14" i="3"/>
  <c r="G12" i="3"/>
  <c r="G10" i="3"/>
  <c r="G8" i="3"/>
  <c r="F8" i="3"/>
</calcChain>
</file>

<file path=xl/sharedStrings.xml><?xml version="1.0" encoding="utf-8"?>
<sst xmlns="http://schemas.openxmlformats.org/spreadsheetml/2006/main" count="266" uniqueCount="143">
  <si>
    <t>⚠️ 本テンプレートは同人売上の概算管理用補助ツールです。手数料率・卸価格・インボイス対応はプラットフォームや登録状況で変動します。DLsite/FANZAは必ず各自のサークル管理画面・公式案内で確認してください。税務判断は税理士または所轄税務署にご相談ください。本テンプレートは税務申告の正確性を保証するものではありません。</t>
  </si>
  <si>
    <t>▼ 作品ごとに月次の販売実績を入力してください。手取りは Sheet 2 (手数料マスタ) を参照して自動計算されます。</t>
  </si>
  <si>
    <t>作品ID</t>
  </si>
  <si>
    <t>作品タイトル</t>
  </si>
  <si>
    <t>サークル名</t>
  </si>
  <si>
    <t>プラットフォーム</t>
  </si>
  <si>
    <t>販売価格(税込)</t>
  </si>
  <si>
    <t>販売形態</t>
  </si>
  <si>
    <t>ジャンル</t>
  </si>
  <si>
    <t>公開日</t>
  </si>
  <si>
    <t>月販売数</t>
  </si>
  <si>
    <t>月売上(税込)</t>
  </si>
  <si>
    <t>1件あたり手取り(円)</t>
  </si>
  <si>
    <t>月手取り(概算・円)</t>
  </si>
  <si>
    <t>手取り率(参考)</t>
  </si>
  <si>
    <t>備考</t>
  </si>
  <si>
    <t>RJ123456</t>
  </si>
  <si>
    <t>サンプル作品A</t>
  </si>
  <si>
    <t>自分のサークル</t>
  </si>
  <si>
    <t>DLsite</t>
  </si>
  <si>
    <t>専売</t>
  </si>
  <si>
    <t>漫画/CG</t>
  </si>
  <si>
    <t>Sheet2参照(暫定値)・公式管理画面で要確認</t>
  </si>
  <si>
    <t>FANZA同人</t>
  </si>
  <si>
    <t>該当なし</t>
  </si>
  <si>
    <t>BOOTH-001</t>
  </si>
  <si>
    <t>BOOTH</t>
  </si>
  <si>
    <t>5.6%+45円(2025/10/28〜)</t>
  </si>
  <si>
    <t>RJ234567</t>
  </si>
  <si>
    <t>サンプル作品B</t>
  </si>
  <si>
    <t>合計</t>
  </si>
  <si>
    <t>▼ 手数料マスタ(ユーザー編集可能)
ご自身のサークルの実際の取り分は、各プラットフォームの管理画面の「卸価格」「サークル取り分」表示で確認できます。
本シートの初期値は2026年4月時点の暫定値を含みます。必ず公式情報で確認・更新してください。</t>
  </si>
  <si>
    <t>色分け: ✅公式確認済 / 🟡暫定値・要確認 / 🔴未確認・サンプル</t>
  </si>
  <si>
    <t>価格下限(自動計算用)</t>
  </si>
  <si>
    <t>価格上限(自動計算用)</t>
  </si>
  <si>
    <t>価格帯(税込)</t>
  </si>
  <si>
    <t>クリエイター取り分(率)</t>
  </si>
  <si>
    <t>1件あたり固定手数料(円)</t>
  </si>
  <si>
    <t>インボイス未登録の扱い</t>
  </si>
  <si>
    <t>公式確認ステータス</t>
  </si>
  <si>
    <t>出典URL</t>
  </si>
  <si>
    <t>最終確認日</t>
  </si>
  <si>
    <t>全価格</t>
  </si>
  <si>
    <t>全ジャンル</t>
  </si>
  <si>
    <t>個別の取り扱いは公式ヘルプを確認</t>
  </si>
  <si>
    <t>✅公式確認済</t>
  </si>
  <si>
    <t>https://booth.pm/announcements/832</t>
  </si>
  <si>
    <t>2026-04-25</t>
  </si>
  <si>
    <t>2025/10/28改定済(5.6%+45円)</t>
  </si>
  <si>
    <t>〜500</t>
  </si>
  <si>
    <t>経過措置に応じて段階的減額</t>
  </si>
  <si>
    <t>🟡暫定値・要確認</t>
  </si>
  <si>
    <t>https://www.dlsite.com/</t>
  </si>
  <si>
    <t>公式管理画面の卸価格でご確認ください</t>
  </si>
  <si>
    <t>500-1100</t>
  </si>
  <si>
    <t>1100-2200</t>
  </si>
  <si>
    <t>2200-4400</t>
  </si>
  <si>
    <t>4400+</t>
  </si>
  <si>
    <t>併売</t>
  </si>
  <si>
    <t>併売は専売より低めとされる(暫定)</t>
  </si>
  <si>
    <t>〜550</t>
  </si>
  <si>
    <t>登録状況で卸価格が異なる可能性(公式FAQで要確認)</t>
  </si>
  <si>
    <t>https://www.dmm.co.jp/dc/doujin/</t>
  </si>
  <si>
    <t>2021/11卸値引き上げ</t>
  </si>
  <si>
    <t>550-1100</t>
  </si>
  <si>
    <t>1100-4400</t>
  </si>
  <si>
    <t>https://detail.chiebukuro.yahoo.co.jp/qa/question_detail/q12303801932</t>
  </si>
  <si>
    <t>4,400円以上で卸価格80%(参考情報)</t>
  </si>
  <si>
    <t>https://booth.pm/announcements/8</t>
  </si>
  <si>
    <t>2026-04-26</t>
  </si>
  <si>
    <t>2025/10/28改定: 5.6%+45円・1件ごと小数点切り上げ(Sheet1の式は別途 ROUNDUP 固定式)</t>
  </si>
  <si>
    <t>▼ Sheet 1 から月次の手取りを自動集計します。サンプル数値が入っていますが、本番運用では Sheet 1 を埋めると自動更新されます。</t>
  </si>
  <si>
    <t>月</t>
  </si>
  <si>
    <t>DLsite手取り</t>
  </si>
  <si>
    <t>FANZA同人手取り</t>
  </si>
  <si>
    <t>BOOTH手取り</t>
  </si>
  <si>
    <t>前月比</t>
  </si>
  <si>
    <t>累計</t>
  </si>
  <si>
    <t>月売上(税込)合計</t>
  </si>
  <si>
    <t>月売上累計(税込)</t>
  </si>
  <si>
    <t>2026-01</t>
  </si>
  <si>
    <t>2026-02</t>
  </si>
  <si>
    <t>2026-03</t>
  </si>
  <si>
    <t>2026-04</t>
  </si>
  <si>
    <t>2026-05</t>
  </si>
  <si>
    <t>2026-06</t>
  </si>
  <si>
    <t>2026-07</t>
  </si>
  <si>
    <t>2026-08</t>
  </si>
  <si>
    <t>2026-09</t>
  </si>
  <si>
    <t>2026-10</t>
  </si>
  <si>
    <t>2026-11</t>
  </si>
  <si>
    <t>2026-12</t>
  </si>
  <si>
    <t>▼ 月次の経費を入力。家事按分%を入れると経費計上額が自動計算されます。家事按分の根拠資料は別途整理してください。</t>
  </si>
  <si>
    <t>⚠️ 確定申告・税務判断は必ず税理士または所轄税務署にご相談ください。本シートは整理用の補助です。</t>
  </si>
  <si>
    <t>経費項目</t>
  </si>
  <si>
    <t>金額(円)</t>
  </si>
  <si>
    <t>家事按分率(%)</t>
  </si>
  <si>
    <t>経費計上額(円)</t>
  </si>
  <si>
    <t>家賃</t>
  </si>
  <si>
    <t>作業部屋として30%使用想定</t>
  </si>
  <si>
    <t>通信費</t>
  </si>
  <si>
    <t>制作で50%使用想定</t>
  </si>
  <si>
    <t>光熱費</t>
  </si>
  <si>
    <t>ソフトウェア</t>
  </si>
  <si>
    <t>Photoshop月額</t>
  </si>
  <si>
    <t>合計(全行)</t>
  </si>
  <si>
    <t>▼ 作品をアップロードする前のチェックリスト10項目。各作品ごとにチェック欄を埋めてください。</t>
  </si>
  <si>
    <t>No</t>
  </si>
  <si>
    <t>チェック項目</t>
  </si>
  <si>
    <t>✓</t>
  </si>
  <si>
    <t>コメント・補足</t>
  </si>
  <si>
    <t>サムネイル画像 公式推奨サイズ確認(560×420等、各公式で要確認)</t>
  </si>
  <si>
    <t>☐</t>
  </si>
  <si>
    <t>DLsite/FANZA</t>
  </si>
  <si>
    <t>サンプル画像5枚以上</t>
  </si>
  <si>
    <t>売れ行きへの影響大</t>
  </si>
  <si>
    <t>タグ最適化(各公式の推奨数を確認)</t>
  </si>
  <si>
    <t>プラットフォーム別に異なる</t>
  </si>
  <si>
    <t>説明文1,000字以上(SEO対策)</t>
  </si>
  <si>
    <t>価格設定(競合作品との比較)</t>
  </si>
  <si>
    <t>シミュレータで試算</t>
  </si>
  <si>
    <t>専売 vs 併売 判断(DLsite/FANZA)</t>
  </si>
  <si>
    <t>公式の手取り表で確認推奨</t>
  </si>
  <si>
    <t>キャンペーン参加判断</t>
  </si>
  <si>
    <t>キャンペーンごとに条件が異なる</t>
  </si>
  <si>
    <t>AI生成作品の場合: 申告区分選定</t>
  </si>
  <si>
    <t>AI生成/AI一部利用/AI補助</t>
  </si>
  <si>
    <t>インボイス対応(登録/未登録の影響を理解)</t>
  </si>
  <si>
    <t>公式案内+税理士確認推奨</t>
  </si>
  <si>
    <t>修正基準確認(R18の場合は最新基準)</t>
  </si>
  <si>
    <t>プラットフォームごとに異なる</t>
  </si>
  <si>
    <t>⚠️ このシートは「税理士相談用の整理メモ」です。
・税務判断・確定申告書類の作成は必ず税理士または所轄税務署にご相談ください
・本シートの数値は概算であり、税務上の正式な金額を保証するものではありません
・インボイス影響額の試算はあくまで2026年4月時点の経過措置を参考にした暫定値です</t>
  </si>
  <si>
    <t>▼ 確定申告前の整理項目</t>
  </si>
  <si>
    <t>A. 年間売上(税込)</t>
  </si>
  <si>
    <t>B. 年間手取り(プラットフォーム手数料控除後)</t>
  </si>
  <si>
    <t>C. 年間経費(家事按分後)</t>
  </si>
  <si>
    <t>D. 概算利益(B − C)</t>
  </si>
  <si>
    <t>E. 年間売上1,000万円超え判定(消費税課税対象判定の参考のみ)</t>
  </si>
  <si>
    <t>F. 提出書類チェック(税理士相談用メモ欄)</t>
  </si>
  <si>
    <t>・経費の領収書を整理したか</t>
  </si>
  <si>
    <t>・家事按分の根拠資料を準備したか</t>
  </si>
  <si>
    <t>・インボイス登録状況を確認したか(DLsite/FANZA)</t>
  </si>
  <si>
    <t>・税理士・税務署への相談予定を立てたか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</si>
</sst>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8" x14ac:knownFonts="1">
    <font>
      <sz val="11"/>
      <color theme="1"/>
      <name val="ＭＳ Ｐゴシック"/>
      <family val="2"/>
      <scheme val="minor"/>
    </font>
    <font>
      <b/>
      <sz val="10"/>
      <color rgb="FF92400E"/>
      <name val="ＭＳ Ｐゴシック"/>
      <family val="3"/>
      <charset val="128"/>
    </font>
    <font>
      <i/>
      <sz val="9"/>
      <color rgb="FF6B7280"/>
      <name val="ＭＳ Ｐゴシック"/>
      <family val="3"/>
      <charset val="128"/>
    </font>
    <font>
      <b/>
      <sz val="11"/>
      <color rgb="FFFFFFFF"/>
      <name val="ＭＳ Ｐゴシック"/>
      <family val="3"/>
      <charset val="128"/>
    </font>
    <font>
      <b/>
      <sz val="11"/>
      <name val="ＭＳ Ｐゴシック"/>
      <family val="3"/>
      <charset val="128"/>
    </font>
    <font>
      <b/>
      <sz val="10"/>
      <color rgb="FFDC2626"/>
      <name val="ＭＳ Ｐゴシック"/>
      <family val="3"/>
      <charset val="128"/>
    </font>
    <font>
      <b/>
      <sz val="11"/>
      <name val="ＭＳ Ｐゴシック"/>
      <family val="3"/>
      <charset val="128"/>
    </font>
    <font>
      <sz val="6"/>
      <name val="ＭＳ Ｐゴシック"/>
      <family val="3"/>
      <charset val="128"/>
      <scheme val="minor"/>
    </font>
  </fonts>
  <fills count="5">
    <fill>
      <patternFill patternType="none"/>
    </fill>
    <fill>
      <patternFill patternType="gray125"/>
    </fill>
    <fill>
      <patternFill patternType="solid">
        <fgColor rgb="FFFEF3C7"/>
      </patternFill>
    </fill>
    <fill>
      <patternFill patternType="solid">
        <fgColor rgb="FF4F46E5"/>
      </patternFill>
    </fill>
    <fill>
      <patternFill patternType="solid">
        <fgColor rgb="FFD1FAE5"/>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15">
    <xf numFmtId="0" fontId="0" fillId="0" borderId="0" xfId="0"/>
    <xf numFmtId="0" fontId="3" fillId="3" borderId="1" xfId="0" applyFont="1" applyFill="1" applyBorder="1" applyAlignment="1">
      <alignment horizontal="center" vertical="center"/>
    </xf>
    <xf numFmtId="0" fontId="0" fillId="0" borderId="1" xfId="0" applyBorder="1"/>
    <xf numFmtId="0" fontId="4" fillId="0" borderId="0" xfId="0" applyFont="1"/>
    <xf numFmtId="0" fontId="0" fillId="4" borderId="1" xfId="0" applyFill="1" applyBorder="1"/>
    <xf numFmtId="0" fontId="0" fillId="2" borderId="1" xfId="0" applyFill="1" applyBorder="1"/>
    <xf numFmtId="0" fontId="0" fillId="0" borderId="1" xfId="0" applyBorder="1" applyAlignment="1">
      <alignment horizontal="center"/>
    </xf>
    <xf numFmtId="0" fontId="6" fillId="0" borderId="0" xfId="0" applyFont="1"/>
    <xf numFmtId="176" fontId="0" fillId="0" borderId="1" xfId="0" applyNumberFormat="1" applyBorder="1"/>
    <xf numFmtId="0" fontId="2" fillId="0" borderId="0" xfId="0" applyFont="1"/>
    <xf numFmtId="0" fontId="0" fillId="0" borderId="0" xfId="0"/>
    <xf numFmtId="0" fontId="1" fillId="2" borderId="0" xfId="0" applyFont="1" applyFill="1" applyAlignment="1">
      <alignment horizontal="left" vertical="center" wrapText="1"/>
    </xf>
    <xf numFmtId="0" fontId="2" fillId="0" borderId="0" xfId="0" applyFont="1" applyAlignment="1">
      <alignment vertical="top" wrapText="1"/>
    </xf>
    <xf numFmtId="0" fontId="5" fillId="0" borderId="0" xfId="0" applyFont="1"/>
    <xf numFmtId="0" fontId="5" fillId="0" borderId="0" xfId="0" applyFont="1" applyAlignment="1">
      <alignmen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tabSelected="1" workbookViewId="0">
      <selection sqref="A1:G3"/>
    </sheetView>
  </sheetViews>
  <sheetFormatPr defaultRowHeight="13.5" x14ac:dyDescent="0.15"/>
  <cols>
    <col min="1" max="1" width="12" customWidth="1"/>
    <col min="2" max="2" width="20" customWidth="1"/>
    <col min="3" max="4" width="14" customWidth="1"/>
    <col min="5" max="5" width="13" customWidth="1"/>
    <col min="6" max="6" width="11" customWidth="1"/>
    <col min="7" max="7" width="14" customWidth="1"/>
    <col min="8" max="8" width="12" customWidth="1"/>
    <col min="9" max="9" width="11" customWidth="1"/>
    <col min="10" max="10" width="14" customWidth="1"/>
    <col min="11" max="11" width="13" customWidth="1"/>
    <col min="12" max="12" width="14" customWidth="1"/>
    <col min="13" max="13" width="30" customWidth="1"/>
  </cols>
  <sheetData>
    <row r="1" spans="1:14" ht="21.95" customHeight="1" x14ac:dyDescent="0.15">
      <c r="A1" s="11" t="s">
        <v>0</v>
      </c>
      <c r="B1" s="10"/>
      <c r="C1" s="10"/>
      <c r="D1" s="10"/>
      <c r="E1" s="10"/>
      <c r="F1" s="10"/>
      <c r="G1" s="10"/>
    </row>
    <row r="2" spans="1:14" ht="21.95" customHeight="1" x14ac:dyDescent="0.15">
      <c r="A2" s="10"/>
      <c r="B2" s="10"/>
      <c r="C2" s="10"/>
      <c r="D2" s="10"/>
      <c r="E2" s="10"/>
      <c r="F2" s="10"/>
      <c r="G2" s="10"/>
    </row>
    <row r="3" spans="1:14" ht="21.95" customHeight="1" x14ac:dyDescent="0.15">
      <c r="A3" s="10"/>
      <c r="B3" s="10"/>
      <c r="C3" s="10"/>
      <c r="D3" s="10"/>
      <c r="E3" s="10"/>
      <c r="F3" s="10"/>
      <c r="G3" s="10"/>
    </row>
    <row r="4" spans="1:14" x14ac:dyDescent="0.15">
      <c r="A4" s="9" t="s">
        <v>1</v>
      </c>
      <c r="B4" s="10"/>
      <c r="C4" s="10"/>
      <c r="D4" s="10"/>
      <c r="E4" s="10"/>
      <c r="F4" s="10"/>
      <c r="G4" s="10"/>
      <c r="H4" s="10"/>
      <c r="I4" s="10"/>
      <c r="J4" s="10"/>
      <c r="K4" s="10"/>
      <c r="L4" s="10"/>
      <c r="M4" s="10"/>
    </row>
    <row r="6" spans="1:14" x14ac:dyDescent="0.15">
      <c r="A6" s="1" t="s">
        <v>2</v>
      </c>
      <c r="B6" s="1" t="s">
        <v>3</v>
      </c>
      <c r="C6" s="1" t="s">
        <v>4</v>
      </c>
      <c r="D6" s="1" t="s">
        <v>5</v>
      </c>
      <c r="E6" s="1" t="s">
        <v>6</v>
      </c>
      <c r="F6" s="1" t="s">
        <v>7</v>
      </c>
      <c r="G6" s="1" t="s">
        <v>8</v>
      </c>
      <c r="H6" s="1" t="s">
        <v>9</v>
      </c>
      <c r="I6" s="1" t="s">
        <v>10</v>
      </c>
      <c r="J6" s="1" t="s">
        <v>11</v>
      </c>
      <c r="K6" s="1" t="s">
        <v>12</v>
      </c>
      <c r="L6" s="1" t="s">
        <v>13</v>
      </c>
      <c r="M6" s="1" t="s">
        <v>14</v>
      </c>
      <c r="N6" t="s">
        <v>15</v>
      </c>
    </row>
    <row r="7" spans="1:14" x14ac:dyDescent="0.15">
      <c r="A7" s="2" t="s">
        <v>16</v>
      </c>
      <c r="B7" s="2" t="s">
        <v>17</v>
      </c>
      <c r="C7" s="2" t="s">
        <v>18</v>
      </c>
      <c r="D7" s="2" t="s">
        <v>19</v>
      </c>
      <c r="E7" s="2">
        <v>1100</v>
      </c>
      <c r="F7" s="2" t="s">
        <v>20</v>
      </c>
      <c r="G7" s="2" t="s">
        <v>21</v>
      </c>
      <c r="H7" s="8">
        <v>46037</v>
      </c>
      <c r="I7" s="2">
        <v>80</v>
      </c>
      <c r="J7" s="2">
        <f>E7*I7</f>
        <v>88000</v>
      </c>
      <c r="K7" s="2">
        <f t="shared" ref="K7:K12" si="0">IF(D7="BOOTH",MAX(0,E7-ROUNDUP(E7*0.056+45,0)),IF(D7="DLsite",IF(F7="併売",E7*0.55,IF(F7="専売",IF(E7&lt;500,E7*0.5,IF(E7&lt;1100,E7*0.6,IF(E7&lt;2200,E7*0.65,IF(E7&lt;4400,E7*0.7,E7*0.75)))),0)),IF(D7="FANZA同人",IF(E7&lt;550,E7*0.55,IF(E7&lt;1100,E7*0.6,IF(E7&lt;4400,E7*0.65,E7*0.8))),0)))</f>
        <v>715</v>
      </c>
      <c r="L7" s="2">
        <f t="shared" ref="L7:L12" si="1">IFERROR(K7*I7,0)</f>
        <v>57200</v>
      </c>
      <c r="M7" s="2">
        <f t="shared" ref="M7:M13" si="2">IFERROR(L7/J7,"")</f>
        <v>0.65</v>
      </c>
      <c r="N7" t="s">
        <v>22</v>
      </c>
    </row>
    <row r="8" spans="1:14" x14ac:dyDescent="0.15">
      <c r="A8" s="2" t="s">
        <v>16</v>
      </c>
      <c r="B8" s="2" t="s">
        <v>17</v>
      </c>
      <c r="C8" s="2" t="s">
        <v>18</v>
      </c>
      <c r="D8" s="2" t="s">
        <v>23</v>
      </c>
      <c r="E8" s="2">
        <v>1100</v>
      </c>
      <c r="F8" s="2" t="s">
        <v>24</v>
      </c>
      <c r="G8" s="2" t="s">
        <v>21</v>
      </c>
      <c r="H8" s="8">
        <v>46037</v>
      </c>
      <c r="I8" s="2">
        <v>30</v>
      </c>
      <c r="J8" s="2">
        <f>E8*I8</f>
        <v>33000</v>
      </c>
      <c r="K8" s="2">
        <f t="shared" si="0"/>
        <v>715</v>
      </c>
      <c r="L8" s="2">
        <f t="shared" si="1"/>
        <v>21450</v>
      </c>
      <c r="M8" s="2">
        <f t="shared" si="2"/>
        <v>0.65</v>
      </c>
      <c r="N8" t="s">
        <v>22</v>
      </c>
    </row>
    <row r="9" spans="1:14" x14ac:dyDescent="0.15">
      <c r="A9" s="2" t="s">
        <v>25</v>
      </c>
      <c r="B9" s="2" t="s">
        <v>17</v>
      </c>
      <c r="C9" s="2" t="s">
        <v>18</v>
      </c>
      <c r="D9" s="2" t="s">
        <v>26</v>
      </c>
      <c r="E9" s="2">
        <v>1100</v>
      </c>
      <c r="F9" s="2" t="s">
        <v>24</v>
      </c>
      <c r="G9" s="2" t="s">
        <v>21</v>
      </c>
      <c r="H9" s="8">
        <v>46037</v>
      </c>
      <c r="I9" s="2">
        <v>100</v>
      </c>
      <c r="J9" s="2">
        <f>E9*I9</f>
        <v>110000</v>
      </c>
      <c r="K9" s="2">
        <f t="shared" si="0"/>
        <v>993</v>
      </c>
      <c r="L9" s="2">
        <f t="shared" si="1"/>
        <v>99300</v>
      </c>
      <c r="M9" s="2">
        <f t="shared" si="2"/>
        <v>0.90272727272727271</v>
      </c>
      <c r="N9" t="s">
        <v>27</v>
      </c>
    </row>
    <row r="10" spans="1:14" x14ac:dyDescent="0.15">
      <c r="A10" s="2" t="s">
        <v>28</v>
      </c>
      <c r="B10" s="2" t="s">
        <v>29</v>
      </c>
      <c r="C10" s="2" t="s">
        <v>18</v>
      </c>
      <c r="D10" s="2" t="s">
        <v>19</v>
      </c>
      <c r="E10" s="2">
        <v>2200</v>
      </c>
      <c r="F10" s="2" t="s">
        <v>20</v>
      </c>
      <c r="G10" s="2" t="s">
        <v>21</v>
      </c>
      <c r="H10" s="8">
        <v>46063</v>
      </c>
      <c r="I10" s="2">
        <v>50</v>
      </c>
      <c r="J10" s="2">
        <f>E10*I10</f>
        <v>110000</v>
      </c>
      <c r="K10" s="2">
        <f t="shared" si="0"/>
        <v>1540</v>
      </c>
      <c r="L10" s="2">
        <f t="shared" si="1"/>
        <v>77000</v>
      </c>
      <c r="M10" s="2">
        <f t="shared" si="2"/>
        <v>0.7</v>
      </c>
    </row>
    <row r="11" spans="1:14" x14ac:dyDescent="0.15">
      <c r="A11" s="2" t="s">
        <v>28</v>
      </c>
      <c r="B11" s="2" t="s">
        <v>29</v>
      </c>
      <c r="C11" s="2" t="s">
        <v>18</v>
      </c>
      <c r="D11" s="2" t="s">
        <v>23</v>
      </c>
      <c r="E11" s="2">
        <v>2200</v>
      </c>
      <c r="F11" s="2" t="s">
        <v>24</v>
      </c>
      <c r="G11" s="2" t="s">
        <v>21</v>
      </c>
      <c r="H11" s="8">
        <v>46063</v>
      </c>
      <c r="I11" s="2">
        <v>25</v>
      </c>
      <c r="J11" s="2">
        <f>E11*I11</f>
        <v>55000</v>
      </c>
      <c r="K11" s="2">
        <f t="shared" si="0"/>
        <v>1430</v>
      </c>
      <c r="L11" s="2">
        <f t="shared" si="1"/>
        <v>35750</v>
      </c>
      <c r="M11" s="2">
        <f t="shared" si="2"/>
        <v>0.65</v>
      </c>
    </row>
    <row r="12" spans="1:14" x14ac:dyDescent="0.15">
      <c r="K12">
        <f t="shared" si="0"/>
        <v>0</v>
      </c>
      <c r="L12">
        <f t="shared" si="1"/>
        <v>0</v>
      </c>
      <c r="M12" t="str">
        <f t="shared" si="2"/>
        <v/>
      </c>
    </row>
    <row r="13" spans="1:14" x14ac:dyDescent="0.15">
      <c r="A13" s="3" t="s">
        <v>30</v>
      </c>
      <c r="J13" s="3">
        <f>SUM(J7:J12)</f>
        <v>396000</v>
      </c>
      <c r="L13" s="3">
        <f>SUM(L7:L12)</f>
        <v>290700</v>
      </c>
      <c r="M13">
        <f t="shared" si="2"/>
        <v>0.73409090909090913</v>
      </c>
    </row>
  </sheetData>
  <mergeCells count="2">
    <mergeCell ref="A4:M4"/>
    <mergeCell ref="A1:G3"/>
  </mergeCells>
  <phoneticPr fontId="7"/>
  <dataValidations count="3">
    <dataValidation type="list" allowBlank="1" sqref="D7:D100" xr:uid="{00000000-0002-0000-0000-000000000000}">
      <formula1>"DLsite,FANZA同人,BOOTH"</formula1>
    </dataValidation>
    <dataValidation type="list" allowBlank="1" sqref="F7:F100" xr:uid="{00000000-0002-0000-0000-000001000000}">
      <formula1>"専売,併売,該当なし"</formula1>
    </dataValidation>
    <dataValidation type="list" allowBlank="1" sqref="G7:G100" xr:uid="{00000000-0002-0000-0000-000002000000}">
      <formula1>"漫画/CG,R18 漫画/CG,ゲーム,音声/ASMR,ノベル,その他"</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1"/>
  <sheetViews>
    <sheetView workbookViewId="0"/>
  </sheetViews>
  <sheetFormatPr defaultRowHeight="13.5" x14ac:dyDescent="0.15"/>
  <cols>
    <col min="1" max="1" width="13" customWidth="1"/>
    <col min="2" max="2" width="14" customWidth="1"/>
    <col min="3" max="3" width="11" customWidth="1"/>
    <col min="4" max="4" width="14" customWidth="1"/>
    <col min="5" max="6" width="18" customWidth="1"/>
    <col min="7" max="7" width="32" customWidth="1"/>
    <col min="8" max="8" width="16" customWidth="1"/>
    <col min="9" max="9" width="40" customWidth="1"/>
    <col min="10" max="10" width="13" customWidth="1"/>
    <col min="11" max="11" width="28" customWidth="1"/>
  </cols>
  <sheetData>
    <row r="1" spans="1:13" ht="21.95" customHeight="1" x14ac:dyDescent="0.15">
      <c r="A1" s="11" t="s">
        <v>0</v>
      </c>
      <c r="B1" s="10"/>
      <c r="C1" s="10"/>
      <c r="D1" s="10"/>
      <c r="E1" s="10"/>
      <c r="F1" s="10"/>
      <c r="G1" s="10"/>
    </row>
    <row r="2" spans="1:13" ht="21.95" customHeight="1" x14ac:dyDescent="0.15">
      <c r="A2" s="10"/>
      <c r="B2" s="10"/>
      <c r="C2" s="10"/>
      <c r="D2" s="10"/>
      <c r="E2" s="10"/>
      <c r="F2" s="10"/>
      <c r="G2" s="10"/>
    </row>
    <row r="3" spans="1:13" ht="21.95" customHeight="1" x14ac:dyDescent="0.15">
      <c r="A3" s="10"/>
      <c r="B3" s="10"/>
      <c r="C3" s="10"/>
      <c r="D3" s="10"/>
      <c r="E3" s="10"/>
      <c r="F3" s="10"/>
      <c r="G3" s="10"/>
    </row>
    <row r="4" spans="1:13" ht="50.1" customHeight="1" x14ac:dyDescent="0.15">
      <c r="A4" s="12" t="s">
        <v>31</v>
      </c>
      <c r="B4" s="10"/>
      <c r="C4" s="10"/>
      <c r="D4" s="10"/>
      <c r="E4" s="10"/>
      <c r="F4" s="10"/>
      <c r="G4" s="10"/>
      <c r="H4" s="10"/>
      <c r="I4" s="10"/>
      <c r="J4" s="10"/>
      <c r="K4" s="10"/>
    </row>
    <row r="6" spans="1:13" x14ac:dyDescent="0.15">
      <c r="A6" s="9" t="s">
        <v>32</v>
      </c>
      <c r="B6" s="10"/>
      <c r="C6" s="10"/>
      <c r="D6" s="10"/>
      <c r="E6" s="10"/>
      <c r="F6" s="10"/>
      <c r="G6" s="10"/>
      <c r="H6" s="10"/>
      <c r="I6" s="10"/>
      <c r="J6" s="10"/>
      <c r="K6" s="10"/>
    </row>
    <row r="7" spans="1:13" x14ac:dyDescent="0.15">
      <c r="L7" t="s">
        <v>33</v>
      </c>
      <c r="M7" t="s">
        <v>34</v>
      </c>
    </row>
    <row r="8" spans="1:13" x14ac:dyDescent="0.15">
      <c r="A8" s="1" t="s">
        <v>5</v>
      </c>
      <c r="B8" s="1" t="s">
        <v>35</v>
      </c>
      <c r="C8" s="1" t="s">
        <v>7</v>
      </c>
      <c r="D8" s="1" t="s">
        <v>8</v>
      </c>
      <c r="E8" s="1" t="s">
        <v>36</v>
      </c>
      <c r="F8" s="1" t="s">
        <v>37</v>
      </c>
      <c r="G8" s="1" t="s">
        <v>38</v>
      </c>
      <c r="H8" s="1" t="s">
        <v>39</v>
      </c>
      <c r="I8" s="1" t="s">
        <v>40</v>
      </c>
      <c r="J8" s="1" t="s">
        <v>41</v>
      </c>
      <c r="K8" s="1" t="s">
        <v>15</v>
      </c>
    </row>
    <row r="9" spans="1:13" x14ac:dyDescent="0.15">
      <c r="A9" s="2" t="s">
        <v>26</v>
      </c>
      <c r="B9" s="2" t="s">
        <v>42</v>
      </c>
      <c r="C9" s="2" t="s">
        <v>24</v>
      </c>
      <c r="D9" s="2" t="s">
        <v>43</v>
      </c>
      <c r="E9" s="2">
        <v>0.94399999999999995</v>
      </c>
      <c r="F9" s="2">
        <v>45</v>
      </c>
      <c r="G9" s="2" t="s">
        <v>44</v>
      </c>
      <c r="H9" s="4" t="s">
        <v>45</v>
      </c>
      <c r="I9" s="2" t="s">
        <v>46</v>
      </c>
      <c r="J9" s="2" t="s">
        <v>47</v>
      </c>
      <c r="K9" s="2" t="s">
        <v>48</v>
      </c>
      <c r="L9">
        <v>0</v>
      </c>
      <c r="M9">
        <v>99999999</v>
      </c>
    </row>
    <row r="10" spans="1:13" x14ac:dyDescent="0.15">
      <c r="A10" s="2" t="s">
        <v>19</v>
      </c>
      <c r="B10" s="2" t="s">
        <v>49</v>
      </c>
      <c r="C10" s="2" t="s">
        <v>20</v>
      </c>
      <c r="D10" s="2" t="s">
        <v>21</v>
      </c>
      <c r="E10" s="2">
        <v>0.5</v>
      </c>
      <c r="F10" s="2">
        <v>0</v>
      </c>
      <c r="G10" s="2" t="s">
        <v>50</v>
      </c>
      <c r="H10" s="5" t="s">
        <v>51</v>
      </c>
      <c r="I10" s="2" t="s">
        <v>52</v>
      </c>
      <c r="J10" s="2" t="s">
        <v>47</v>
      </c>
      <c r="K10" s="2" t="s">
        <v>53</v>
      </c>
      <c r="L10">
        <v>0</v>
      </c>
      <c r="M10">
        <v>500</v>
      </c>
    </row>
    <row r="11" spans="1:13" x14ac:dyDescent="0.15">
      <c r="A11" s="2" t="s">
        <v>19</v>
      </c>
      <c r="B11" s="2" t="s">
        <v>54</v>
      </c>
      <c r="C11" s="2" t="s">
        <v>20</v>
      </c>
      <c r="D11" s="2" t="s">
        <v>21</v>
      </c>
      <c r="E11" s="2">
        <v>0.6</v>
      </c>
      <c r="F11" s="2">
        <v>0</v>
      </c>
      <c r="G11" s="2" t="s">
        <v>50</v>
      </c>
      <c r="H11" s="5" t="s">
        <v>51</v>
      </c>
      <c r="I11" s="2" t="s">
        <v>52</v>
      </c>
      <c r="J11" s="2" t="s">
        <v>47</v>
      </c>
      <c r="K11" s="2" t="s">
        <v>53</v>
      </c>
      <c r="L11">
        <v>500</v>
      </c>
      <c r="M11">
        <v>1100</v>
      </c>
    </row>
    <row r="12" spans="1:13" x14ac:dyDescent="0.15">
      <c r="A12" s="2" t="s">
        <v>19</v>
      </c>
      <c r="B12" s="2" t="s">
        <v>55</v>
      </c>
      <c r="C12" s="2" t="s">
        <v>20</v>
      </c>
      <c r="D12" s="2" t="s">
        <v>21</v>
      </c>
      <c r="E12" s="2">
        <v>0.65</v>
      </c>
      <c r="F12" s="2">
        <v>0</v>
      </c>
      <c r="G12" s="2" t="s">
        <v>50</v>
      </c>
      <c r="H12" s="5" t="s">
        <v>51</v>
      </c>
      <c r="I12" s="2" t="s">
        <v>52</v>
      </c>
      <c r="J12" s="2" t="s">
        <v>47</v>
      </c>
      <c r="K12" s="2" t="s">
        <v>53</v>
      </c>
      <c r="L12">
        <v>1100</v>
      </c>
      <c r="M12">
        <v>2200</v>
      </c>
    </row>
    <row r="13" spans="1:13" x14ac:dyDescent="0.15">
      <c r="A13" s="2" t="s">
        <v>19</v>
      </c>
      <c r="B13" s="2" t="s">
        <v>56</v>
      </c>
      <c r="C13" s="2" t="s">
        <v>20</v>
      </c>
      <c r="D13" s="2" t="s">
        <v>21</v>
      </c>
      <c r="E13" s="2">
        <v>0.7</v>
      </c>
      <c r="F13" s="2">
        <v>0</v>
      </c>
      <c r="G13" s="2" t="s">
        <v>50</v>
      </c>
      <c r="H13" s="5" t="s">
        <v>51</v>
      </c>
      <c r="I13" s="2" t="s">
        <v>52</v>
      </c>
      <c r="J13" s="2" t="s">
        <v>47</v>
      </c>
      <c r="K13" s="2" t="s">
        <v>53</v>
      </c>
      <c r="L13">
        <v>2200</v>
      </c>
      <c r="M13">
        <v>4400</v>
      </c>
    </row>
    <row r="14" spans="1:13" x14ac:dyDescent="0.15">
      <c r="A14" s="2" t="s">
        <v>19</v>
      </c>
      <c r="B14" s="2" t="s">
        <v>57</v>
      </c>
      <c r="C14" s="2" t="s">
        <v>20</v>
      </c>
      <c r="D14" s="2" t="s">
        <v>21</v>
      </c>
      <c r="E14" s="2">
        <v>0.75</v>
      </c>
      <c r="F14" s="2">
        <v>0</v>
      </c>
      <c r="G14" s="2" t="s">
        <v>50</v>
      </c>
      <c r="H14" s="5" t="s">
        <v>51</v>
      </c>
      <c r="I14" s="2" t="s">
        <v>52</v>
      </c>
      <c r="J14" s="2" t="s">
        <v>47</v>
      </c>
      <c r="K14" s="2" t="s">
        <v>53</v>
      </c>
      <c r="L14">
        <v>4400</v>
      </c>
      <c r="M14">
        <v>99999999</v>
      </c>
    </row>
    <row r="15" spans="1:13" x14ac:dyDescent="0.15">
      <c r="A15" s="2" t="s">
        <v>19</v>
      </c>
      <c r="B15" s="2" t="s">
        <v>42</v>
      </c>
      <c r="C15" s="2" t="s">
        <v>58</v>
      </c>
      <c r="D15" s="2" t="s">
        <v>21</v>
      </c>
      <c r="E15" s="2">
        <v>0.55000000000000004</v>
      </c>
      <c r="F15" s="2">
        <v>0</v>
      </c>
      <c r="G15" s="2" t="s">
        <v>50</v>
      </c>
      <c r="H15" s="5" t="s">
        <v>51</v>
      </c>
      <c r="I15" s="2" t="s">
        <v>52</v>
      </c>
      <c r="J15" s="2" t="s">
        <v>47</v>
      </c>
      <c r="K15" s="2" t="s">
        <v>59</v>
      </c>
      <c r="L15">
        <v>0</v>
      </c>
      <c r="M15">
        <v>99999999</v>
      </c>
    </row>
    <row r="16" spans="1:13" x14ac:dyDescent="0.15">
      <c r="A16" s="2" t="s">
        <v>23</v>
      </c>
      <c r="B16" s="2" t="s">
        <v>60</v>
      </c>
      <c r="C16" s="2" t="s">
        <v>24</v>
      </c>
      <c r="D16" s="2" t="s">
        <v>21</v>
      </c>
      <c r="E16" s="2">
        <v>0.55000000000000004</v>
      </c>
      <c r="F16" s="2">
        <v>0</v>
      </c>
      <c r="G16" s="2" t="s">
        <v>61</v>
      </c>
      <c r="H16" s="5" t="s">
        <v>51</v>
      </c>
      <c r="I16" s="2" t="s">
        <v>62</v>
      </c>
      <c r="J16" s="2" t="s">
        <v>47</v>
      </c>
      <c r="K16" s="2" t="s">
        <v>63</v>
      </c>
      <c r="L16">
        <v>0</v>
      </c>
      <c r="M16">
        <v>550</v>
      </c>
    </row>
    <row r="17" spans="1:13" x14ac:dyDescent="0.15">
      <c r="A17" s="2" t="s">
        <v>23</v>
      </c>
      <c r="B17" s="2" t="s">
        <v>64</v>
      </c>
      <c r="C17" s="2" t="s">
        <v>24</v>
      </c>
      <c r="D17" s="2" t="s">
        <v>21</v>
      </c>
      <c r="E17" s="2">
        <v>0.6</v>
      </c>
      <c r="F17" s="2">
        <v>0</v>
      </c>
      <c r="G17" s="2" t="s">
        <v>61</v>
      </c>
      <c r="H17" s="5" t="s">
        <v>51</v>
      </c>
      <c r="I17" s="2" t="s">
        <v>62</v>
      </c>
      <c r="J17" s="2" t="s">
        <v>47</v>
      </c>
      <c r="K17" s="2" t="s">
        <v>53</v>
      </c>
      <c r="L17">
        <v>550</v>
      </c>
      <c r="M17">
        <v>1100</v>
      </c>
    </row>
    <row r="18" spans="1:13" x14ac:dyDescent="0.15">
      <c r="A18" s="2" t="s">
        <v>23</v>
      </c>
      <c r="B18" s="2" t="s">
        <v>65</v>
      </c>
      <c r="C18" s="2" t="s">
        <v>24</v>
      </c>
      <c r="D18" s="2" t="s">
        <v>21</v>
      </c>
      <c r="E18" s="2">
        <v>0.65</v>
      </c>
      <c r="F18" s="2">
        <v>0</v>
      </c>
      <c r="G18" s="2" t="s">
        <v>61</v>
      </c>
      <c r="H18" s="5" t="s">
        <v>51</v>
      </c>
      <c r="I18" s="2" t="s">
        <v>62</v>
      </c>
      <c r="J18" s="2" t="s">
        <v>47</v>
      </c>
      <c r="K18" s="2" t="s">
        <v>53</v>
      </c>
      <c r="L18">
        <v>1100</v>
      </c>
      <c r="M18">
        <v>4400</v>
      </c>
    </row>
    <row r="19" spans="1:13" x14ac:dyDescent="0.15">
      <c r="A19" s="2" t="s">
        <v>23</v>
      </c>
      <c r="B19" s="2" t="s">
        <v>57</v>
      </c>
      <c r="C19" s="2" t="s">
        <v>24</v>
      </c>
      <c r="D19" s="2" t="s">
        <v>21</v>
      </c>
      <c r="E19" s="2">
        <v>0.8</v>
      </c>
      <c r="F19" s="2">
        <v>0</v>
      </c>
      <c r="G19" s="2" t="s">
        <v>61</v>
      </c>
      <c r="H19" s="5" t="s">
        <v>51</v>
      </c>
      <c r="I19" s="2" t="s">
        <v>66</v>
      </c>
      <c r="J19" s="2" t="s">
        <v>47</v>
      </c>
      <c r="K19" s="2" t="s">
        <v>67</v>
      </c>
      <c r="L19">
        <v>4400</v>
      </c>
      <c r="M19">
        <v>99999999</v>
      </c>
    </row>
    <row r="21" spans="1:13" x14ac:dyDescent="0.15">
      <c r="A21" t="s">
        <v>26</v>
      </c>
      <c r="B21" t="s">
        <v>42</v>
      </c>
      <c r="C21" t="s">
        <v>24</v>
      </c>
      <c r="D21" t="s">
        <v>43</v>
      </c>
      <c r="E21">
        <v>0.94399999999999995</v>
      </c>
      <c r="F21">
        <v>45</v>
      </c>
      <c r="G21" t="s">
        <v>44</v>
      </c>
      <c r="H21" t="s">
        <v>45</v>
      </c>
      <c r="I21" t="s">
        <v>68</v>
      </c>
      <c r="J21" t="s">
        <v>69</v>
      </c>
      <c r="K21" t="s">
        <v>70</v>
      </c>
      <c r="L21">
        <v>0</v>
      </c>
      <c r="M21">
        <v>99999999</v>
      </c>
    </row>
  </sheetData>
  <mergeCells count="3">
    <mergeCell ref="A6:K6"/>
    <mergeCell ref="A1:G3"/>
    <mergeCell ref="A4:K4"/>
  </mergeCells>
  <phoneticPr fontId="7"/>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8"/>
  <sheetViews>
    <sheetView workbookViewId="0"/>
  </sheetViews>
  <sheetFormatPr defaultRowHeight="13.5" x14ac:dyDescent="0.15"/>
  <cols>
    <col min="1" max="1" width="12" customWidth="1"/>
    <col min="2" max="4" width="16" customWidth="1"/>
    <col min="5" max="5" width="14" customWidth="1"/>
    <col min="6" max="6" width="12" customWidth="1"/>
    <col min="7" max="7" width="14" customWidth="1"/>
  </cols>
  <sheetData>
    <row r="1" spans="1:9" ht="21.95" customHeight="1" x14ac:dyDescent="0.15">
      <c r="A1" s="11" t="s">
        <v>0</v>
      </c>
      <c r="B1" s="10"/>
      <c r="C1" s="10"/>
      <c r="D1" s="10"/>
      <c r="E1" s="10"/>
      <c r="F1" s="10"/>
      <c r="G1" s="10"/>
    </row>
    <row r="2" spans="1:9" ht="21.95" customHeight="1" x14ac:dyDescent="0.15">
      <c r="A2" s="10"/>
      <c r="B2" s="10"/>
      <c r="C2" s="10"/>
      <c r="D2" s="10"/>
      <c r="E2" s="10"/>
      <c r="F2" s="10"/>
      <c r="G2" s="10"/>
    </row>
    <row r="3" spans="1:9" ht="21.95" customHeight="1" x14ac:dyDescent="0.15">
      <c r="A3" s="10"/>
      <c r="B3" s="10"/>
      <c r="C3" s="10"/>
      <c r="D3" s="10"/>
      <c r="E3" s="10"/>
      <c r="F3" s="10"/>
      <c r="G3" s="10"/>
    </row>
    <row r="4" spans="1:9" x14ac:dyDescent="0.15">
      <c r="A4" s="9" t="s">
        <v>71</v>
      </c>
      <c r="B4" s="10"/>
      <c r="C4" s="10"/>
      <c r="D4" s="10"/>
      <c r="E4" s="10"/>
      <c r="F4" s="10"/>
      <c r="G4" s="10"/>
    </row>
    <row r="6" spans="1:9" x14ac:dyDescent="0.15">
      <c r="A6" s="1" t="s">
        <v>72</v>
      </c>
      <c r="B6" s="1" t="s">
        <v>73</v>
      </c>
      <c r="C6" s="1" t="s">
        <v>74</v>
      </c>
      <c r="D6" s="1" t="s">
        <v>75</v>
      </c>
      <c r="E6" s="1" t="s">
        <v>30</v>
      </c>
      <c r="F6" s="1" t="s">
        <v>76</v>
      </c>
      <c r="G6" s="1" t="s">
        <v>77</v>
      </c>
      <c r="H6" t="s">
        <v>78</v>
      </c>
      <c r="I6" t="s">
        <v>79</v>
      </c>
    </row>
    <row r="7" spans="1:9" x14ac:dyDescent="0.15">
      <c r="A7" t="s">
        <v>80</v>
      </c>
      <c r="B7">
        <f>SUMIFS('1_作品別売上'!L:L,'1_作品別売上'!D:D,"DLsite",'1_作品別売上'!H:H,"&gt;="&amp;DATE(2026,1,1),'1_作品別売上'!H:H,"&lt;"&amp;DATE(2026,2,1))</f>
        <v>57200</v>
      </c>
      <c r="C7">
        <f>SUMIFS('1_作品別売上'!L:L,'1_作品別売上'!D:D,"FANZA同人",'1_作品別売上'!H:H,"&gt;="&amp;DATE(2026,1,1),'1_作品別売上'!H:H,"&lt;"&amp;DATE(2026,2,1))</f>
        <v>21450</v>
      </c>
      <c r="D7">
        <f>SUMIFS('1_作品別売上'!L:L,'1_作品別売上'!D:D,"BOOTH",'1_作品別売上'!H:H,"&gt;="&amp;DATE(2026,1,1),'1_作品別売上'!H:H,"&lt;"&amp;DATE(2026,2,1))</f>
        <v>99300</v>
      </c>
      <c r="E7">
        <f t="shared" ref="E7:E18" si="0">SUM(B7:D7)</f>
        <v>177950</v>
      </c>
      <c r="G7">
        <f>SUM(E$7:E7)</f>
        <v>177950</v>
      </c>
      <c r="H7">
        <f>SUMIFS('1_作品別売上'!J:J,'1_作品別売上'!H:H,"&gt;="&amp;DATE(2026,1,1),'1_作品別売上'!H:H,"&lt;"&amp;DATE(2026,2,1))</f>
        <v>231000</v>
      </c>
      <c r="I7">
        <f>SUM(H$7:H7)</f>
        <v>231000</v>
      </c>
    </row>
    <row r="8" spans="1:9" x14ac:dyDescent="0.15">
      <c r="A8" t="s">
        <v>81</v>
      </c>
      <c r="B8">
        <f>SUMIFS('1_作品別売上'!L:L,'1_作品別売上'!D:D,"DLsite",'1_作品別売上'!H:H,"&gt;="&amp;DATE(2026,2,1),'1_作品別売上'!H:H,"&lt;"&amp;DATE(2026,3,1))</f>
        <v>77000</v>
      </c>
      <c r="C8">
        <f>SUMIFS('1_作品別売上'!L:L,'1_作品別売上'!D:D,"FANZA同人",'1_作品別売上'!H:H,"&gt;="&amp;DATE(2026,2,1),'1_作品別売上'!H:H,"&lt;"&amp;DATE(2026,3,1))</f>
        <v>35750</v>
      </c>
      <c r="D8">
        <f>SUMIFS('1_作品別売上'!L:L,'1_作品別売上'!D:D,"BOOTH",'1_作品別売上'!H:H,"&gt;="&amp;DATE(2026,2,1),'1_作品別売上'!H:H,"&lt;"&amp;DATE(2026,3,1))</f>
        <v>0</v>
      </c>
      <c r="E8">
        <f t="shared" si="0"/>
        <v>112750</v>
      </c>
      <c r="F8">
        <f t="shared" ref="F8:F18" si="1">IF(E7=0,"",E8/E7-1)</f>
        <v>-0.36639505479067158</v>
      </c>
      <c r="G8">
        <f>SUM(E$7:E8)</f>
        <v>290700</v>
      </c>
      <c r="H8">
        <f>SUMIFS('1_作品別売上'!J:J,'1_作品別売上'!H:H,"&gt;="&amp;DATE(2026,2,1),'1_作品別売上'!H:H,"&lt;"&amp;DATE(2026,3,1))</f>
        <v>165000</v>
      </c>
      <c r="I8">
        <f>SUM(H$7:H8)</f>
        <v>396000</v>
      </c>
    </row>
    <row r="9" spans="1:9" x14ac:dyDescent="0.15">
      <c r="A9" t="s">
        <v>82</v>
      </c>
      <c r="B9">
        <f>SUMIFS('1_作品別売上'!L:L,'1_作品別売上'!D:D,"DLsite",'1_作品別売上'!H:H,"&gt;="&amp;DATE(2026,3,1),'1_作品別売上'!H:H,"&lt;"&amp;DATE(2026,4,1))</f>
        <v>0</v>
      </c>
      <c r="C9">
        <f>SUMIFS('1_作品別売上'!L:L,'1_作品別売上'!D:D,"FANZA同人",'1_作品別売上'!H:H,"&gt;="&amp;DATE(2026,3,1),'1_作品別売上'!H:H,"&lt;"&amp;DATE(2026,4,1))</f>
        <v>0</v>
      </c>
      <c r="D9">
        <f>SUMIFS('1_作品別売上'!L:L,'1_作品別売上'!D:D,"BOOTH",'1_作品別売上'!H:H,"&gt;="&amp;DATE(2026,3,1),'1_作品別売上'!H:H,"&lt;"&amp;DATE(2026,4,1))</f>
        <v>0</v>
      </c>
      <c r="E9">
        <f t="shared" si="0"/>
        <v>0</v>
      </c>
      <c r="F9">
        <f t="shared" si="1"/>
        <v>-1</v>
      </c>
      <c r="G9">
        <f>SUM(E$7:E9)</f>
        <v>290700</v>
      </c>
      <c r="H9">
        <f>SUMIFS('1_作品別売上'!J:J,'1_作品別売上'!H:H,"&gt;="&amp;DATE(2026,3,1),'1_作品別売上'!H:H,"&lt;"&amp;DATE(2026,4,1))</f>
        <v>0</v>
      </c>
      <c r="I9">
        <f>SUM(H$7:H9)</f>
        <v>396000</v>
      </c>
    </row>
    <row r="10" spans="1:9" x14ac:dyDescent="0.15">
      <c r="A10" t="s">
        <v>83</v>
      </c>
      <c r="B10">
        <f>SUMIFS('1_作品別売上'!L:L,'1_作品別売上'!D:D,"DLsite",'1_作品別売上'!H:H,"&gt;="&amp;DATE(2026,4,1),'1_作品別売上'!H:H,"&lt;"&amp;DATE(2026,5,1))</f>
        <v>0</v>
      </c>
      <c r="C10">
        <f>SUMIFS('1_作品別売上'!L:L,'1_作品別売上'!D:D,"FANZA同人",'1_作品別売上'!H:H,"&gt;="&amp;DATE(2026,4,1),'1_作品別売上'!H:H,"&lt;"&amp;DATE(2026,5,1))</f>
        <v>0</v>
      </c>
      <c r="D10">
        <f>SUMIFS('1_作品別売上'!L:L,'1_作品別売上'!D:D,"BOOTH",'1_作品別売上'!H:H,"&gt;="&amp;DATE(2026,4,1),'1_作品別売上'!H:H,"&lt;"&amp;DATE(2026,5,1))</f>
        <v>0</v>
      </c>
      <c r="E10">
        <f t="shared" si="0"/>
        <v>0</v>
      </c>
      <c r="F10" t="str">
        <f t="shared" si="1"/>
        <v/>
      </c>
      <c r="G10">
        <f>SUM(E$7:E10)</f>
        <v>290700</v>
      </c>
      <c r="H10">
        <f>SUMIFS('1_作品別売上'!J:J,'1_作品別売上'!H:H,"&gt;="&amp;DATE(2026,4,1),'1_作品別売上'!H:H,"&lt;"&amp;DATE(2026,5,1))</f>
        <v>0</v>
      </c>
      <c r="I10">
        <f>SUM(H$7:H10)</f>
        <v>396000</v>
      </c>
    </row>
    <row r="11" spans="1:9" x14ac:dyDescent="0.15">
      <c r="A11" t="s">
        <v>84</v>
      </c>
      <c r="B11">
        <f>SUMIFS('1_作品別売上'!L:L,'1_作品別売上'!D:D,"DLsite",'1_作品別売上'!H:H,"&gt;="&amp;DATE(2026,5,1),'1_作品別売上'!H:H,"&lt;"&amp;DATE(2026,6,1))</f>
        <v>0</v>
      </c>
      <c r="C11">
        <f>SUMIFS('1_作品別売上'!L:L,'1_作品別売上'!D:D,"FANZA同人",'1_作品別売上'!H:H,"&gt;="&amp;DATE(2026,5,1),'1_作品別売上'!H:H,"&lt;"&amp;DATE(2026,6,1))</f>
        <v>0</v>
      </c>
      <c r="D11">
        <f>SUMIFS('1_作品別売上'!L:L,'1_作品別売上'!D:D,"BOOTH",'1_作品別売上'!H:H,"&gt;="&amp;DATE(2026,5,1),'1_作品別売上'!H:H,"&lt;"&amp;DATE(2026,6,1))</f>
        <v>0</v>
      </c>
      <c r="E11">
        <f t="shared" si="0"/>
        <v>0</v>
      </c>
      <c r="F11" t="str">
        <f t="shared" si="1"/>
        <v/>
      </c>
      <c r="G11">
        <f>SUM(E$7:E11)</f>
        <v>290700</v>
      </c>
      <c r="H11">
        <f>SUMIFS('1_作品別売上'!J:J,'1_作品別売上'!H:H,"&gt;="&amp;DATE(2026,5,1),'1_作品別売上'!H:H,"&lt;"&amp;DATE(2026,6,1))</f>
        <v>0</v>
      </c>
      <c r="I11">
        <f>SUM(H$7:H11)</f>
        <v>396000</v>
      </c>
    </row>
    <row r="12" spans="1:9" x14ac:dyDescent="0.15">
      <c r="A12" t="s">
        <v>85</v>
      </c>
      <c r="B12">
        <f>SUMIFS('1_作品別売上'!L:L,'1_作品別売上'!D:D,"DLsite",'1_作品別売上'!H:H,"&gt;="&amp;DATE(2026,6,1),'1_作品別売上'!H:H,"&lt;"&amp;DATE(2026,7,1))</f>
        <v>0</v>
      </c>
      <c r="C12">
        <f>SUMIFS('1_作品別売上'!L:L,'1_作品別売上'!D:D,"FANZA同人",'1_作品別売上'!H:H,"&gt;="&amp;DATE(2026,6,1),'1_作品別売上'!H:H,"&lt;"&amp;DATE(2026,7,1))</f>
        <v>0</v>
      </c>
      <c r="D12">
        <f>SUMIFS('1_作品別売上'!L:L,'1_作品別売上'!D:D,"BOOTH",'1_作品別売上'!H:H,"&gt;="&amp;DATE(2026,6,1),'1_作品別売上'!H:H,"&lt;"&amp;DATE(2026,7,1))</f>
        <v>0</v>
      </c>
      <c r="E12">
        <f t="shared" si="0"/>
        <v>0</v>
      </c>
      <c r="F12" t="str">
        <f t="shared" si="1"/>
        <v/>
      </c>
      <c r="G12">
        <f>SUM(E$7:E12)</f>
        <v>290700</v>
      </c>
      <c r="H12">
        <f>SUMIFS('1_作品別売上'!J:J,'1_作品別売上'!H:H,"&gt;="&amp;DATE(2026,6,1),'1_作品別売上'!H:H,"&lt;"&amp;DATE(2026,7,1))</f>
        <v>0</v>
      </c>
      <c r="I12">
        <f>SUM(H$7:H12)</f>
        <v>396000</v>
      </c>
    </row>
    <row r="13" spans="1:9" x14ac:dyDescent="0.15">
      <c r="A13" t="s">
        <v>86</v>
      </c>
      <c r="B13">
        <f>SUMIFS('1_作品別売上'!L:L,'1_作品別売上'!D:D,"DLsite",'1_作品別売上'!H:H,"&gt;="&amp;DATE(2026,7,1),'1_作品別売上'!H:H,"&lt;"&amp;DATE(2026,8,1))</f>
        <v>0</v>
      </c>
      <c r="C13">
        <f>SUMIFS('1_作品別売上'!L:L,'1_作品別売上'!D:D,"FANZA同人",'1_作品別売上'!H:H,"&gt;="&amp;DATE(2026,7,1),'1_作品別売上'!H:H,"&lt;"&amp;DATE(2026,8,1))</f>
        <v>0</v>
      </c>
      <c r="D13">
        <f>SUMIFS('1_作品別売上'!L:L,'1_作品別売上'!D:D,"BOOTH",'1_作品別売上'!H:H,"&gt;="&amp;DATE(2026,7,1),'1_作品別売上'!H:H,"&lt;"&amp;DATE(2026,8,1))</f>
        <v>0</v>
      </c>
      <c r="E13">
        <f t="shared" si="0"/>
        <v>0</v>
      </c>
      <c r="F13" t="str">
        <f t="shared" si="1"/>
        <v/>
      </c>
      <c r="G13">
        <f>SUM(E$7:E13)</f>
        <v>290700</v>
      </c>
      <c r="H13">
        <f>SUMIFS('1_作品別売上'!J:J,'1_作品別売上'!H:H,"&gt;="&amp;DATE(2026,7,1),'1_作品別売上'!H:H,"&lt;"&amp;DATE(2026,8,1))</f>
        <v>0</v>
      </c>
      <c r="I13">
        <f>SUM(H$7:H13)</f>
        <v>396000</v>
      </c>
    </row>
    <row r="14" spans="1:9" x14ac:dyDescent="0.15">
      <c r="A14" t="s">
        <v>87</v>
      </c>
      <c r="B14">
        <f>SUMIFS('1_作品別売上'!L:L,'1_作品別売上'!D:D,"DLsite",'1_作品別売上'!H:H,"&gt;="&amp;DATE(2026,8,1),'1_作品別売上'!H:H,"&lt;"&amp;DATE(2026,9,1))</f>
        <v>0</v>
      </c>
      <c r="C14">
        <f>SUMIFS('1_作品別売上'!L:L,'1_作品別売上'!D:D,"FANZA同人",'1_作品別売上'!H:H,"&gt;="&amp;DATE(2026,8,1),'1_作品別売上'!H:H,"&lt;"&amp;DATE(2026,9,1))</f>
        <v>0</v>
      </c>
      <c r="D14">
        <f>SUMIFS('1_作品別売上'!L:L,'1_作品別売上'!D:D,"BOOTH",'1_作品別売上'!H:H,"&gt;="&amp;DATE(2026,8,1),'1_作品別売上'!H:H,"&lt;"&amp;DATE(2026,9,1))</f>
        <v>0</v>
      </c>
      <c r="E14">
        <f t="shared" si="0"/>
        <v>0</v>
      </c>
      <c r="F14" t="str">
        <f t="shared" si="1"/>
        <v/>
      </c>
      <c r="G14">
        <f>SUM(E$7:E14)</f>
        <v>290700</v>
      </c>
      <c r="H14">
        <f>SUMIFS('1_作品別売上'!J:J,'1_作品別売上'!H:H,"&gt;="&amp;DATE(2026,8,1),'1_作品別売上'!H:H,"&lt;"&amp;DATE(2026,9,1))</f>
        <v>0</v>
      </c>
      <c r="I14">
        <f>SUM(H$7:H14)</f>
        <v>396000</v>
      </c>
    </row>
    <row r="15" spans="1:9" x14ac:dyDescent="0.15">
      <c r="A15" t="s">
        <v>88</v>
      </c>
      <c r="B15">
        <f>SUMIFS('1_作品別売上'!L:L,'1_作品別売上'!D:D,"DLsite",'1_作品別売上'!H:H,"&gt;="&amp;DATE(2026,9,1),'1_作品別売上'!H:H,"&lt;"&amp;DATE(2026,10,1))</f>
        <v>0</v>
      </c>
      <c r="C15">
        <f>SUMIFS('1_作品別売上'!L:L,'1_作品別売上'!D:D,"FANZA同人",'1_作品別売上'!H:H,"&gt;="&amp;DATE(2026,9,1),'1_作品別売上'!H:H,"&lt;"&amp;DATE(2026,10,1))</f>
        <v>0</v>
      </c>
      <c r="D15">
        <f>SUMIFS('1_作品別売上'!L:L,'1_作品別売上'!D:D,"BOOTH",'1_作品別売上'!H:H,"&gt;="&amp;DATE(2026,9,1),'1_作品別売上'!H:H,"&lt;"&amp;DATE(2026,10,1))</f>
        <v>0</v>
      </c>
      <c r="E15">
        <f t="shared" si="0"/>
        <v>0</v>
      </c>
      <c r="F15" t="str">
        <f t="shared" si="1"/>
        <v/>
      </c>
      <c r="G15">
        <f>SUM(E$7:E15)</f>
        <v>290700</v>
      </c>
      <c r="H15">
        <f>SUMIFS('1_作品別売上'!J:J,'1_作品別売上'!H:H,"&gt;="&amp;DATE(2026,9,1),'1_作品別売上'!H:H,"&lt;"&amp;DATE(2026,10,1))</f>
        <v>0</v>
      </c>
      <c r="I15">
        <f>SUM(H$7:H15)</f>
        <v>396000</v>
      </c>
    </row>
    <row r="16" spans="1:9" x14ac:dyDescent="0.15">
      <c r="A16" t="s">
        <v>89</v>
      </c>
      <c r="B16">
        <f>SUMIFS('1_作品別売上'!L:L,'1_作品別売上'!D:D,"DLsite",'1_作品別売上'!H:H,"&gt;="&amp;DATE(2026,10,1),'1_作品別売上'!H:H,"&lt;"&amp;DATE(2026,11,1))</f>
        <v>0</v>
      </c>
      <c r="C16">
        <f>SUMIFS('1_作品別売上'!L:L,'1_作品別売上'!D:D,"FANZA同人",'1_作品別売上'!H:H,"&gt;="&amp;DATE(2026,10,1),'1_作品別売上'!H:H,"&lt;"&amp;DATE(2026,11,1))</f>
        <v>0</v>
      </c>
      <c r="D16">
        <f>SUMIFS('1_作品別売上'!L:L,'1_作品別売上'!D:D,"BOOTH",'1_作品別売上'!H:H,"&gt;="&amp;DATE(2026,10,1),'1_作品別売上'!H:H,"&lt;"&amp;DATE(2026,11,1))</f>
        <v>0</v>
      </c>
      <c r="E16">
        <f t="shared" si="0"/>
        <v>0</v>
      </c>
      <c r="F16" t="str">
        <f t="shared" si="1"/>
        <v/>
      </c>
      <c r="G16">
        <f>SUM(E$7:E16)</f>
        <v>290700</v>
      </c>
      <c r="H16">
        <f>SUMIFS('1_作品別売上'!J:J,'1_作品別売上'!H:H,"&gt;="&amp;DATE(2026,10,1),'1_作品別売上'!H:H,"&lt;"&amp;DATE(2026,11,1))</f>
        <v>0</v>
      </c>
      <c r="I16">
        <f>SUM(H$7:H16)</f>
        <v>396000</v>
      </c>
    </row>
    <row r="17" spans="1:9" x14ac:dyDescent="0.15">
      <c r="A17" t="s">
        <v>90</v>
      </c>
      <c r="B17">
        <f>SUMIFS('1_作品別売上'!L:L,'1_作品別売上'!D:D,"DLsite",'1_作品別売上'!H:H,"&gt;="&amp;DATE(2026,11,1),'1_作品別売上'!H:H,"&lt;"&amp;DATE(2026,12,1))</f>
        <v>0</v>
      </c>
      <c r="C17">
        <f>SUMIFS('1_作品別売上'!L:L,'1_作品別売上'!D:D,"FANZA同人",'1_作品別売上'!H:H,"&gt;="&amp;DATE(2026,11,1),'1_作品別売上'!H:H,"&lt;"&amp;DATE(2026,12,1))</f>
        <v>0</v>
      </c>
      <c r="D17">
        <f>SUMIFS('1_作品別売上'!L:L,'1_作品別売上'!D:D,"BOOTH",'1_作品別売上'!H:H,"&gt;="&amp;DATE(2026,11,1),'1_作品別売上'!H:H,"&lt;"&amp;DATE(2026,12,1))</f>
        <v>0</v>
      </c>
      <c r="E17">
        <f t="shared" si="0"/>
        <v>0</v>
      </c>
      <c r="F17" t="str">
        <f t="shared" si="1"/>
        <v/>
      </c>
      <c r="G17">
        <f>SUM(E$7:E17)</f>
        <v>290700</v>
      </c>
      <c r="H17">
        <f>SUMIFS('1_作品別売上'!J:J,'1_作品別売上'!H:H,"&gt;="&amp;DATE(2026,11,1),'1_作品別売上'!H:H,"&lt;"&amp;DATE(2026,12,1))</f>
        <v>0</v>
      </c>
      <c r="I17">
        <f>SUM(H$7:H17)</f>
        <v>396000</v>
      </c>
    </row>
    <row r="18" spans="1:9" x14ac:dyDescent="0.15">
      <c r="A18" t="s">
        <v>91</v>
      </c>
      <c r="B18">
        <f>SUMIFS('1_作品別売上'!L:L,'1_作品別売上'!D:D,"DLsite",'1_作品別売上'!H:H,"&gt;="&amp;DATE(2026,12,1),'1_作品別売上'!H:H,"&lt;"&amp;DATE(2027,1,1))</f>
        <v>0</v>
      </c>
      <c r="C18">
        <f>SUMIFS('1_作品別売上'!L:L,'1_作品別売上'!D:D,"FANZA同人",'1_作品別売上'!H:H,"&gt;="&amp;DATE(2026,12,1),'1_作品別売上'!H:H,"&lt;"&amp;DATE(2027,1,1))</f>
        <v>0</v>
      </c>
      <c r="D18">
        <f>SUMIFS('1_作品別売上'!L:L,'1_作品別売上'!D:D,"BOOTH",'1_作品別売上'!H:H,"&gt;="&amp;DATE(2026,12,1),'1_作品別売上'!H:H,"&lt;"&amp;DATE(2027,1,1))</f>
        <v>0</v>
      </c>
      <c r="E18">
        <f t="shared" si="0"/>
        <v>0</v>
      </c>
      <c r="F18" t="str">
        <f t="shared" si="1"/>
        <v/>
      </c>
      <c r="G18">
        <f>SUM(E$7:E18)</f>
        <v>290700</v>
      </c>
      <c r="H18">
        <f>SUMIFS('1_作品別売上'!J:J,'1_作品別売上'!H:H,"&gt;="&amp;DATE(2026,12,1),'1_作品別売上'!H:H,"&lt;"&amp;DATE(2027,1,1))</f>
        <v>0</v>
      </c>
      <c r="I18">
        <f>SUM(H$7:H18)</f>
        <v>396000</v>
      </c>
    </row>
  </sheetData>
  <mergeCells count="2">
    <mergeCell ref="A1:G3"/>
    <mergeCell ref="A4:G4"/>
  </mergeCells>
  <phoneticPr fontId="7"/>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
  <sheetViews>
    <sheetView workbookViewId="0"/>
  </sheetViews>
  <sheetFormatPr defaultRowHeight="13.5" x14ac:dyDescent="0.15"/>
  <cols>
    <col min="1" max="1" width="12" customWidth="1"/>
    <col min="2" max="2" width="14" customWidth="1"/>
    <col min="3" max="3" width="12" customWidth="1"/>
    <col min="4" max="5" width="14" customWidth="1"/>
    <col min="6" max="6" width="30" customWidth="1"/>
  </cols>
  <sheetData>
    <row r="1" spans="1:7" ht="21.95" customHeight="1" x14ac:dyDescent="0.15">
      <c r="A1" s="11" t="s">
        <v>0</v>
      </c>
      <c r="B1" s="10"/>
      <c r="C1" s="10"/>
      <c r="D1" s="10"/>
      <c r="E1" s="10"/>
      <c r="F1" s="10"/>
      <c r="G1" s="10"/>
    </row>
    <row r="2" spans="1:7" ht="21.95" customHeight="1" x14ac:dyDescent="0.15">
      <c r="A2" s="10"/>
      <c r="B2" s="10"/>
      <c r="C2" s="10"/>
      <c r="D2" s="10"/>
      <c r="E2" s="10"/>
      <c r="F2" s="10"/>
      <c r="G2" s="10"/>
    </row>
    <row r="3" spans="1:7" ht="21.95" customHeight="1" x14ac:dyDescent="0.15">
      <c r="A3" s="10"/>
      <c r="B3" s="10"/>
      <c r="C3" s="10"/>
      <c r="D3" s="10"/>
      <c r="E3" s="10"/>
      <c r="F3" s="10"/>
      <c r="G3" s="10"/>
    </row>
    <row r="4" spans="1:7" x14ac:dyDescent="0.15">
      <c r="A4" s="9" t="s">
        <v>92</v>
      </c>
      <c r="B4" s="10"/>
      <c r="C4" s="10"/>
      <c r="D4" s="10"/>
      <c r="E4" s="10"/>
      <c r="F4" s="10"/>
    </row>
    <row r="6" spans="1:7" x14ac:dyDescent="0.15">
      <c r="A6" s="13" t="s">
        <v>93</v>
      </c>
      <c r="B6" s="10"/>
      <c r="C6" s="10"/>
      <c r="D6" s="10"/>
      <c r="E6" s="10"/>
      <c r="F6" s="10"/>
    </row>
    <row r="8" spans="1:7" x14ac:dyDescent="0.15">
      <c r="A8" s="1" t="s">
        <v>72</v>
      </c>
      <c r="B8" s="1" t="s">
        <v>94</v>
      </c>
      <c r="C8" s="1" t="s">
        <v>95</v>
      </c>
      <c r="D8" s="1" t="s">
        <v>96</v>
      </c>
      <c r="E8" s="1" t="s">
        <v>97</v>
      </c>
      <c r="F8" s="1" t="s">
        <v>15</v>
      </c>
    </row>
    <row r="9" spans="1:7" x14ac:dyDescent="0.15">
      <c r="A9" s="2" t="s">
        <v>80</v>
      </c>
      <c r="B9" s="2" t="s">
        <v>98</v>
      </c>
      <c r="C9" s="2">
        <v>80000</v>
      </c>
      <c r="D9" s="2">
        <v>30</v>
      </c>
      <c r="E9">
        <f>C9*D9/100</f>
        <v>24000</v>
      </c>
      <c r="F9" s="2" t="s">
        <v>99</v>
      </c>
    </row>
    <row r="10" spans="1:7" x14ac:dyDescent="0.15">
      <c r="A10" s="2" t="s">
        <v>80</v>
      </c>
      <c r="B10" s="2" t="s">
        <v>100</v>
      </c>
      <c r="C10" s="2">
        <v>8000</v>
      </c>
      <c r="D10" s="2">
        <v>50</v>
      </c>
      <c r="E10">
        <f>C10*D10/100</f>
        <v>4000</v>
      </c>
      <c r="F10" s="2" t="s">
        <v>101</v>
      </c>
    </row>
    <row r="11" spans="1:7" x14ac:dyDescent="0.15">
      <c r="A11" s="2" t="s">
        <v>80</v>
      </c>
      <c r="B11" s="2" t="s">
        <v>102</v>
      </c>
      <c r="C11" s="2">
        <v>12000</v>
      </c>
      <c r="D11" s="2">
        <v>30</v>
      </c>
      <c r="E11">
        <f>C11*D11/100</f>
        <v>3600</v>
      </c>
      <c r="F11" s="2"/>
    </row>
    <row r="12" spans="1:7" x14ac:dyDescent="0.15">
      <c r="A12" s="2" t="s">
        <v>80</v>
      </c>
      <c r="B12" s="2" t="s">
        <v>103</v>
      </c>
      <c r="C12" s="2">
        <v>5000</v>
      </c>
      <c r="D12" s="2">
        <v>100</v>
      </c>
      <c r="E12">
        <f>C12*D12/100</f>
        <v>5000</v>
      </c>
      <c r="F12" s="2" t="s">
        <v>104</v>
      </c>
    </row>
    <row r="14" spans="1:7" x14ac:dyDescent="0.15">
      <c r="B14" t="s">
        <v>105</v>
      </c>
      <c r="E14">
        <f>SUMPRODUCT(C9:C1000,D9:D1000)/100</f>
        <v>36600</v>
      </c>
    </row>
  </sheetData>
  <mergeCells count="3">
    <mergeCell ref="A6:F6"/>
    <mergeCell ref="A1:G3"/>
    <mergeCell ref="A4:F4"/>
  </mergeCells>
  <phoneticPr fontId="7"/>
  <dataValidations count="1">
    <dataValidation type="list" allowBlank="1" sqref="B9:B100" xr:uid="{00000000-0002-0000-0300-000000000000}">
      <formula1>"家賃,光熱費,通信費,PC代,ソフトウェア,印刷代,交通費,会議費,その他"</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6"/>
  <sheetViews>
    <sheetView workbookViewId="0"/>
  </sheetViews>
  <sheetFormatPr defaultRowHeight="13.5" x14ac:dyDescent="0.15"/>
  <cols>
    <col min="1" max="1" width="5" customWidth="1"/>
    <col min="2" max="2" width="50" customWidth="1"/>
    <col min="3" max="3" width="6" customWidth="1"/>
    <col min="4" max="4" width="30" customWidth="1"/>
  </cols>
  <sheetData>
    <row r="1" spans="1:7" ht="21.95" customHeight="1" x14ac:dyDescent="0.15">
      <c r="A1" s="11" t="s">
        <v>0</v>
      </c>
      <c r="B1" s="10"/>
      <c r="C1" s="10"/>
      <c r="D1" s="10"/>
      <c r="E1" s="10"/>
      <c r="F1" s="10"/>
      <c r="G1" s="10"/>
    </row>
    <row r="2" spans="1:7" ht="21.95" customHeight="1" x14ac:dyDescent="0.15">
      <c r="A2" s="10"/>
      <c r="B2" s="10"/>
      <c r="C2" s="10"/>
      <c r="D2" s="10"/>
      <c r="E2" s="10"/>
      <c r="F2" s="10"/>
      <c r="G2" s="10"/>
    </row>
    <row r="3" spans="1:7" ht="21.95" customHeight="1" x14ac:dyDescent="0.15">
      <c r="A3" s="10"/>
      <c r="B3" s="10"/>
      <c r="C3" s="10"/>
      <c r="D3" s="10"/>
      <c r="E3" s="10"/>
      <c r="F3" s="10"/>
      <c r="G3" s="10"/>
    </row>
    <row r="4" spans="1:7" x14ac:dyDescent="0.15">
      <c r="A4" s="9" t="s">
        <v>106</v>
      </c>
      <c r="B4" s="10"/>
      <c r="C4" s="10"/>
      <c r="D4" s="10"/>
    </row>
    <row r="6" spans="1:7" x14ac:dyDescent="0.15">
      <c r="A6" s="1" t="s">
        <v>107</v>
      </c>
      <c r="B6" s="1" t="s">
        <v>108</v>
      </c>
      <c r="C6" s="1" t="s">
        <v>109</v>
      </c>
      <c r="D6" s="1" t="s">
        <v>110</v>
      </c>
    </row>
    <row r="7" spans="1:7" x14ac:dyDescent="0.15">
      <c r="A7" s="2">
        <v>1</v>
      </c>
      <c r="B7" s="2" t="s">
        <v>111</v>
      </c>
      <c r="C7" s="6" t="s">
        <v>112</v>
      </c>
      <c r="D7" s="2" t="s">
        <v>113</v>
      </c>
    </row>
    <row r="8" spans="1:7" x14ac:dyDescent="0.15">
      <c r="A8" s="2">
        <v>2</v>
      </c>
      <c r="B8" s="2" t="s">
        <v>114</v>
      </c>
      <c r="C8" s="6" t="s">
        <v>112</v>
      </c>
      <c r="D8" s="2" t="s">
        <v>115</v>
      </c>
    </row>
    <row r="9" spans="1:7" x14ac:dyDescent="0.15">
      <c r="A9" s="2">
        <v>3</v>
      </c>
      <c r="B9" s="2" t="s">
        <v>116</v>
      </c>
      <c r="C9" s="6" t="s">
        <v>112</v>
      </c>
      <c r="D9" s="2" t="s">
        <v>117</v>
      </c>
    </row>
    <row r="10" spans="1:7" x14ac:dyDescent="0.15">
      <c r="A10" s="2">
        <v>4</v>
      </c>
      <c r="B10" s="2" t="s">
        <v>118</v>
      </c>
      <c r="C10" s="6" t="s">
        <v>112</v>
      </c>
      <c r="D10" s="2"/>
    </row>
    <row r="11" spans="1:7" x14ac:dyDescent="0.15">
      <c r="A11" s="2">
        <v>5</v>
      </c>
      <c r="B11" s="2" t="s">
        <v>119</v>
      </c>
      <c r="C11" s="6" t="s">
        <v>112</v>
      </c>
      <c r="D11" s="2" t="s">
        <v>120</v>
      </c>
    </row>
    <row r="12" spans="1:7" x14ac:dyDescent="0.15">
      <c r="A12" s="2">
        <v>6</v>
      </c>
      <c r="B12" s="2" t="s">
        <v>121</v>
      </c>
      <c r="C12" s="6" t="s">
        <v>112</v>
      </c>
      <c r="D12" s="2" t="s">
        <v>122</v>
      </c>
    </row>
    <row r="13" spans="1:7" x14ac:dyDescent="0.15">
      <c r="A13" s="2">
        <v>7</v>
      </c>
      <c r="B13" s="2" t="s">
        <v>123</v>
      </c>
      <c r="C13" s="6" t="s">
        <v>112</v>
      </c>
      <c r="D13" s="2" t="s">
        <v>124</v>
      </c>
    </row>
    <row r="14" spans="1:7" x14ac:dyDescent="0.15">
      <c r="A14" s="2">
        <v>8</v>
      </c>
      <c r="B14" s="2" t="s">
        <v>125</v>
      </c>
      <c r="C14" s="6" t="s">
        <v>112</v>
      </c>
      <c r="D14" s="2" t="s">
        <v>126</v>
      </c>
    </row>
    <row r="15" spans="1:7" x14ac:dyDescent="0.15">
      <c r="A15" s="2">
        <v>9</v>
      </c>
      <c r="B15" s="2" t="s">
        <v>127</v>
      </c>
      <c r="C15" s="6" t="s">
        <v>112</v>
      </c>
      <c r="D15" s="2" t="s">
        <v>128</v>
      </c>
    </row>
    <row r="16" spans="1:7" x14ac:dyDescent="0.15">
      <c r="A16" s="2">
        <v>10</v>
      </c>
      <c r="B16" s="2" t="s">
        <v>129</v>
      </c>
      <c r="C16" s="6" t="s">
        <v>112</v>
      </c>
      <c r="D16" s="2" t="s">
        <v>130</v>
      </c>
    </row>
  </sheetData>
  <mergeCells count="2">
    <mergeCell ref="A1:G3"/>
    <mergeCell ref="A4:D4"/>
  </mergeCells>
  <phoneticPr fontId="7"/>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6"/>
  <sheetViews>
    <sheetView workbookViewId="0"/>
  </sheetViews>
  <sheetFormatPr defaultRowHeight="13.5" x14ac:dyDescent="0.15"/>
  <cols>
    <col min="1" max="1" width="50" customWidth="1"/>
    <col min="2" max="2" width="30" customWidth="1"/>
  </cols>
  <sheetData>
    <row r="1" spans="1:7" ht="21.95" customHeight="1" x14ac:dyDescent="0.15">
      <c r="A1" s="11" t="s">
        <v>0</v>
      </c>
      <c r="B1" s="10"/>
      <c r="C1" s="10"/>
      <c r="D1" s="10"/>
      <c r="E1" s="10"/>
      <c r="F1" s="10"/>
      <c r="G1" s="10"/>
    </row>
    <row r="2" spans="1:7" ht="21.95" customHeight="1" x14ac:dyDescent="0.15">
      <c r="A2" s="10"/>
      <c r="B2" s="10"/>
      <c r="C2" s="10"/>
      <c r="D2" s="10"/>
      <c r="E2" s="10"/>
      <c r="F2" s="10"/>
      <c r="G2" s="10"/>
    </row>
    <row r="3" spans="1:7" ht="21.95" customHeight="1" x14ac:dyDescent="0.15">
      <c r="A3" s="10"/>
      <c r="B3" s="10"/>
      <c r="C3" s="10"/>
      <c r="D3" s="10"/>
      <c r="E3" s="10"/>
      <c r="F3" s="10"/>
      <c r="G3" s="10"/>
    </row>
    <row r="4" spans="1:7" ht="69.95" customHeight="1" x14ac:dyDescent="0.15">
      <c r="A4" s="14" t="s">
        <v>131</v>
      </c>
      <c r="B4" s="10"/>
      <c r="C4" s="10"/>
      <c r="D4" s="10"/>
      <c r="E4" s="10"/>
      <c r="F4" s="10"/>
    </row>
    <row r="6" spans="1:7" x14ac:dyDescent="0.15">
      <c r="A6" s="7" t="s">
        <v>132</v>
      </c>
    </row>
    <row r="7" spans="1:7" x14ac:dyDescent="0.15">
      <c r="A7" s="2" t="s">
        <v>133</v>
      </c>
      <c r="B7">
        <f>SUM('3_月次集計'!H7:H18)</f>
        <v>396000</v>
      </c>
    </row>
    <row r="8" spans="1:7" x14ac:dyDescent="0.15">
      <c r="A8" s="2" t="s">
        <v>134</v>
      </c>
      <c r="B8">
        <f>SUM('3_月次集計'!E7:E18)</f>
        <v>290700</v>
      </c>
    </row>
    <row r="9" spans="1:7" x14ac:dyDescent="0.15">
      <c r="A9" s="2" t="s">
        <v>135</v>
      </c>
      <c r="B9">
        <f>SUMPRODUCT('4_経費メモ'!C9:C1000,'4_経費メモ'!D9:D1000)/100</f>
        <v>36600</v>
      </c>
    </row>
    <row r="10" spans="1:7" x14ac:dyDescent="0.15">
      <c r="A10" s="2" t="s">
        <v>136</v>
      </c>
      <c r="B10">
        <f>B8-B9</f>
        <v>254100</v>
      </c>
    </row>
    <row r="11" spans="1:7" x14ac:dyDescent="0.15">
      <c r="A11" s="2" t="s">
        <v>137</v>
      </c>
      <c r="B11" t="str">
        <f>IF(B7&gt;10000000,"課税対象の可能性。税理士相談を","免税対象の可能性")</f>
        <v>免税対象の可能性</v>
      </c>
    </row>
    <row r="12" spans="1:7" x14ac:dyDescent="0.15">
      <c r="A12" s="2" t="s">
        <v>138</v>
      </c>
      <c r="B12" s="2"/>
    </row>
    <row r="13" spans="1:7" x14ac:dyDescent="0.15">
      <c r="A13" s="2" t="s">
        <v>139</v>
      </c>
      <c r="B13" s="2"/>
    </row>
    <row r="14" spans="1:7" x14ac:dyDescent="0.15">
      <c r="A14" s="2" t="s">
        <v>140</v>
      </c>
      <c r="B14" s="2"/>
    </row>
    <row r="15" spans="1:7" x14ac:dyDescent="0.15">
      <c r="A15" s="2" t="s">
        <v>141</v>
      </c>
      <c r="B15" s="2"/>
    </row>
    <row r="16" spans="1:7" x14ac:dyDescent="0.15">
      <c r="A16" s="2" t="s">
        <v>142</v>
      </c>
      <c r="B16" s="2"/>
    </row>
  </sheetData>
  <mergeCells count="2">
    <mergeCell ref="A1:G3"/>
    <mergeCell ref="A4:F4"/>
  </mergeCells>
  <phoneticPr fontId="7"/>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1_作品別売上</vt:lpstr>
      <vt:lpstr>2_手数料マスタ</vt:lpstr>
      <vt:lpstr>3_月次集計</vt:lpstr>
      <vt:lpstr>4_経費メモ</vt:lpstr>
      <vt:lpstr>5_販売前チェック</vt:lpstr>
      <vt:lpstr>6_確定申告前メモ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貴久 福島</cp:lastModifiedBy>
  <dcterms:created xsi:type="dcterms:W3CDTF">2026-04-25T14:05:26Z</dcterms:created>
  <dcterms:modified xsi:type="dcterms:W3CDTF">2026-04-26T10:23:24Z</dcterms:modified>
</cp:coreProperties>
</file>